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712" windowHeight="6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<sst xmlns="http://schemas.openxmlformats.org/spreadsheetml/2006/main" count="239" uniqueCount="142">
  <si>
    <t>ｍｍ</t>
  </si>
  <si>
    <t>アルミニウム</t>
  </si>
  <si>
    <t>ｍｍ</t>
  </si>
  <si>
    <t>管ピッチ</t>
  </si>
  <si>
    <t>気流方向</t>
  </si>
  <si>
    <t>高さ方向</t>
  </si>
  <si>
    <t>ｍｍ</t>
  </si>
  <si>
    <t>管直径</t>
  </si>
  <si>
    <t>外直径</t>
  </si>
  <si>
    <t>内直径</t>
  </si>
  <si>
    <t>フィン</t>
  </si>
  <si>
    <t>ピッチ</t>
  </si>
  <si>
    <t>厚み</t>
  </si>
  <si>
    <t>材質</t>
  </si>
  <si>
    <t>管</t>
  </si>
  <si>
    <t>銅</t>
  </si>
  <si>
    <t>コイルの基本データ</t>
  </si>
  <si>
    <t>処理空気</t>
  </si>
  <si>
    <r>
      <t>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/h</t>
    </r>
  </si>
  <si>
    <t>流量</t>
  </si>
  <si>
    <t>℃</t>
  </si>
  <si>
    <t>kcal/kg(DA)</t>
  </si>
  <si>
    <t>℃</t>
  </si>
  <si>
    <t>冷水</t>
  </si>
  <si>
    <t>入口水温</t>
  </si>
  <si>
    <t>℃</t>
  </si>
  <si>
    <t>m/sec</t>
  </si>
  <si>
    <t>m/sec</t>
  </si>
  <si>
    <t>前面風速</t>
  </si>
  <si>
    <r>
      <t>前面積A</t>
    </r>
    <r>
      <rPr>
        <vertAlign val="subscript"/>
        <sz val="9"/>
        <rFont val="ＭＳ Ｐゴシック"/>
        <family val="3"/>
      </rPr>
      <t>f</t>
    </r>
    <r>
      <rPr>
        <sz val="9"/>
        <rFont val="ＭＳ Ｐゴシック"/>
        <family val="3"/>
      </rPr>
      <t>=</t>
    </r>
  </si>
  <si>
    <t>㎡</t>
  </si>
  <si>
    <t>コイルの長さ</t>
  </si>
  <si>
    <t>ｍ</t>
  </si>
  <si>
    <t>コイルの高さ</t>
  </si>
  <si>
    <t>1列の管数</t>
  </si>
  <si>
    <t>本</t>
  </si>
  <si>
    <t>㎡</t>
  </si>
  <si>
    <r>
      <t>1列のフィン
表面積S</t>
    </r>
    <r>
      <rPr>
        <vertAlign val="subscript"/>
        <sz val="9"/>
        <rFont val="ＭＳ Ｐゴシック"/>
        <family val="3"/>
      </rPr>
      <t>f</t>
    </r>
  </si>
  <si>
    <r>
      <t>S</t>
    </r>
    <r>
      <rPr>
        <vertAlign val="subscript"/>
        <sz val="9"/>
        <rFont val="ＭＳ Ｐゴシック"/>
        <family val="3"/>
      </rPr>
      <t>f</t>
    </r>
    <r>
      <rPr>
        <sz val="9"/>
        <rFont val="ＭＳ Ｐゴシック"/>
        <family val="3"/>
      </rPr>
      <t>/A</t>
    </r>
    <r>
      <rPr>
        <vertAlign val="subscript"/>
        <sz val="9"/>
        <rFont val="ＭＳ Ｐゴシック"/>
        <family val="3"/>
      </rPr>
      <t>f</t>
    </r>
  </si>
  <si>
    <t>-</t>
  </si>
  <si>
    <r>
      <t>1列の管
内表面積S</t>
    </r>
    <r>
      <rPr>
        <vertAlign val="subscript"/>
        <sz val="9"/>
        <rFont val="ＭＳ Ｐゴシック"/>
        <family val="3"/>
      </rPr>
      <t>w</t>
    </r>
  </si>
  <si>
    <r>
      <t>自由面積
A</t>
    </r>
    <r>
      <rPr>
        <vertAlign val="subscript"/>
        <sz val="9"/>
        <rFont val="ＭＳ Ｐゴシック"/>
        <family val="3"/>
      </rPr>
      <t>c</t>
    </r>
  </si>
  <si>
    <r>
      <t>S</t>
    </r>
    <r>
      <rPr>
        <vertAlign val="subscript"/>
        <sz val="9"/>
        <rFont val="ＭＳ Ｐゴシック"/>
        <family val="3"/>
      </rPr>
      <t>w</t>
    </r>
    <r>
      <rPr>
        <sz val="9"/>
        <rFont val="ＭＳ Ｐゴシック"/>
        <family val="3"/>
      </rPr>
      <t>/A</t>
    </r>
    <r>
      <rPr>
        <vertAlign val="subscript"/>
        <sz val="9"/>
        <rFont val="ＭＳ Ｐゴシック"/>
        <family val="3"/>
      </rPr>
      <t>f</t>
    </r>
  </si>
  <si>
    <r>
      <t>A</t>
    </r>
    <r>
      <rPr>
        <vertAlign val="subscript"/>
        <sz val="9"/>
        <rFont val="ＭＳ Ｐゴシック"/>
        <family val="3"/>
      </rPr>
      <t>c</t>
    </r>
    <r>
      <rPr>
        <sz val="9"/>
        <rFont val="ＭＳ Ｐゴシック"/>
        <family val="3"/>
      </rPr>
      <t>/A</t>
    </r>
    <r>
      <rPr>
        <vertAlign val="subscript"/>
        <sz val="9"/>
        <rFont val="ＭＳ Ｐゴシック"/>
        <family val="3"/>
      </rPr>
      <t>f</t>
    </r>
  </si>
  <si>
    <r>
      <t>コイルの
相当直径d</t>
    </r>
    <r>
      <rPr>
        <vertAlign val="subscript"/>
        <sz val="9"/>
        <rFont val="ＭＳ Ｐゴシック"/>
        <family val="3"/>
      </rPr>
      <t>e</t>
    </r>
  </si>
  <si>
    <t>m</t>
  </si>
  <si>
    <t>内外面積比
R</t>
  </si>
  <si>
    <t>コイルの基本仕様を計算</t>
  </si>
  <si>
    <t>℃</t>
  </si>
  <si>
    <t>乾きコイルと湿りコイルの境のところの空気状態値</t>
  </si>
  <si>
    <t>温度②</t>
  </si>
  <si>
    <t>エンタルピ②</t>
  </si>
  <si>
    <t>出口温度③</t>
  </si>
  <si>
    <t>出口エンタルピ③</t>
  </si>
  <si>
    <t>入口温度①</t>
  </si>
  <si>
    <t>入口エンタルピ①</t>
  </si>
  <si>
    <t>kcal/h</t>
  </si>
  <si>
    <r>
      <t>乾き部分の
冷却熱量q</t>
    </r>
    <r>
      <rPr>
        <vertAlign val="subscript"/>
        <sz val="9"/>
        <rFont val="ＭＳ Ｐゴシック"/>
        <family val="3"/>
      </rPr>
      <t>12</t>
    </r>
  </si>
  <si>
    <r>
      <t>全体の
冷却熱量q</t>
    </r>
    <r>
      <rPr>
        <vertAlign val="subscript"/>
        <sz val="9"/>
        <rFont val="ＭＳ Ｐゴシック"/>
        <family val="3"/>
      </rPr>
      <t>13</t>
    </r>
  </si>
  <si>
    <r>
      <t>湿り部分の
冷却熱量q</t>
    </r>
    <r>
      <rPr>
        <vertAlign val="subscript"/>
        <sz val="9"/>
        <rFont val="ＭＳ Ｐゴシック"/>
        <family val="3"/>
      </rPr>
      <t>23</t>
    </r>
  </si>
  <si>
    <t>出入口水温差[℃]</t>
  </si>
  <si>
    <t>出口水温</t>
  </si>
  <si>
    <t>℃</t>
  </si>
  <si>
    <t>kg/h</t>
  </si>
  <si>
    <t>冷水流量L</t>
  </si>
  <si>
    <r>
      <t>管内水流速v</t>
    </r>
    <r>
      <rPr>
        <vertAlign val="subscript"/>
        <sz val="8"/>
        <rFont val="ＭＳ Ｐゴシック"/>
        <family val="3"/>
      </rPr>
      <t>w</t>
    </r>
  </si>
  <si>
    <r>
      <t>実風速v</t>
    </r>
    <r>
      <rPr>
        <vertAlign val="subscript"/>
        <sz val="9"/>
        <rFont val="ＭＳ Ｐゴシック"/>
        <family val="3"/>
      </rPr>
      <t>c</t>
    </r>
  </si>
  <si>
    <t>乾きコイルの計算</t>
  </si>
  <si>
    <t>乾き部分の
出入水温差</t>
  </si>
  <si>
    <t>℃</t>
  </si>
  <si>
    <t>乾き部分の
出口水温</t>
  </si>
  <si>
    <t>乾き部分の
平均水温</t>
  </si>
  <si>
    <t>kcal/㎡h℃</t>
  </si>
  <si>
    <r>
      <t>管内水側
熱伝達率α</t>
    </r>
    <r>
      <rPr>
        <vertAlign val="subscript"/>
        <sz val="9"/>
        <rFont val="ＭＳ Ｐゴシック"/>
        <family val="3"/>
      </rPr>
      <t>w</t>
    </r>
  </si>
  <si>
    <r>
      <t>管外空気側
熱伝達率α</t>
    </r>
    <r>
      <rPr>
        <vertAlign val="subscript"/>
        <sz val="9"/>
        <rFont val="ＭＳ Ｐゴシック"/>
        <family val="3"/>
      </rPr>
      <t>f</t>
    </r>
  </si>
  <si>
    <t>空気の熱伝導率</t>
  </si>
  <si>
    <t>kcal/mh℃</t>
  </si>
  <si>
    <t>㎡/sec</t>
  </si>
  <si>
    <t>空気の動粘性係数</t>
  </si>
  <si>
    <t>管内表面汚れ係数</t>
  </si>
  <si>
    <t>㎡h℃/kcal</t>
  </si>
  <si>
    <t>フィンと管の
接触抵抗</t>
  </si>
  <si>
    <r>
      <t>x</t>
    </r>
    <r>
      <rPr>
        <vertAlign val="subscript"/>
        <sz val="9"/>
        <rFont val="ＭＳ Ｐゴシック"/>
        <family val="3"/>
      </rPr>
      <t>e</t>
    </r>
    <r>
      <rPr>
        <sz val="9"/>
        <rFont val="ＭＳ Ｐゴシック"/>
        <family val="3"/>
      </rPr>
      <t>/x</t>
    </r>
    <r>
      <rPr>
        <vertAlign val="subscript"/>
        <sz val="9"/>
        <rFont val="ＭＳ Ｐゴシック"/>
        <family val="3"/>
      </rPr>
      <t>b</t>
    </r>
  </si>
  <si>
    <t>-</t>
  </si>
  <si>
    <t>図5.21の横軸</t>
  </si>
  <si>
    <t>フィン効率</t>
  </si>
  <si>
    <t>乾き部分の
熱貫流率</t>
  </si>
  <si>
    <r>
      <t>空気入口側の
温度差⊿</t>
    </r>
    <r>
      <rPr>
        <vertAlign val="subscript"/>
        <sz val="8"/>
        <rFont val="ＭＳ Ｐゴシック"/>
        <family val="3"/>
      </rPr>
      <t>1</t>
    </r>
  </si>
  <si>
    <t>乾き部分の対
数平均温度差
MTD</t>
  </si>
  <si>
    <t>乾き部分の
表面積</t>
  </si>
  <si>
    <r>
      <t>空気出口側の
温度差⊿</t>
    </r>
    <r>
      <rPr>
        <vertAlign val="subscript"/>
        <sz val="8"/>
        <rFont val="ＭＳ Ｐゴシック"/>
        <family val="3"/>
      </rPr>
      <t>2</t>
    </r>
  </si>
  <si>
    <t>乾き部分の
列数</t>
  </si>
  <si>
    <t>列</t>
  </si>
  <si>
    <t>湿り部分の
出入水温差</t>
  </si>
  <si>
    <t>湿り部分の
出口水温</t>
  </si>
  <si>
    <t>湿り部分の
平均水温</t>
  </si>
  <si>
    <t>(入口水温)</t>
  </si>
  <si>
    <r>
      <t>空気入口側の
エンタルピ差⊿</t>
    </r>
    <r>
      <rPr>
        <vertAlign val="subscript"/>
        <sz val="8"/>
        <rFont val="ＭＳ Ｐゴシック"/>
        <family val="3"/>
      </rPr>
      <t>1</t>
    </r>
  </si>
  <si>
    <r>
      <t>空気出口側の
エンタルピ差⊿</t>
    </r>
    <r>
      <rPr>
        <vertAlign val="subscript"/>
        <sz val="8"/>
        <rFont val="ＭＳ Ｐゴシック"/>
        <family val="3"/>
      </rPr>
      <t>2</t>
    </r>
  </si>
  <si>
    <t>フィン表面の
物質移動係数</t>
  </si>
  <si>
    <t>kcal/㎡h⊿h</t>
  </si>
  <si>
    <r>
      <t>比例常数b</t>
    </r>
    <r>
      <rPr>
        <vertAlign val="subscript"/>
        <sz val="9"/>
        <rFont val="ＭＳ Ｐゴシック"/>
        <family val="3"/>
      </rPr>
      <t>w</t>
    </r>
  </si>
  <si>
    <t>-</t>
  </si>
  <si>
    <t>ルイス数</t>
  </si>
  <si>
    <t>湿り部分の
熱貫流率</t>
  </si>
  <si>
    <t>湿り部分の
熱伝達率</t>
  </si>
  <si>
    <r>
      <t>x</t>
    </r>
    <r>
      <rPr>
        <vertAlign val="subscript"/>
        <sz val="9"/>
        <rFont val="ＭＳ Ｐゴシック"/>
        <family val="3"/>
      </rPr>
      <t>e</t>
    </r>
    <r>
      <rPr>
        <sz val="9"/>
        <rFont val="ＭＳ Ｐゴシック"/>
        <family val="3"/>
      </rPr>
      <t>/x</t>
    </r>
    <r>
      <rPr>
        <vertAlign val="subscript"/>
        <sz val="9"/>
        <rFont val="ＭＳ Ｐゴシック"/>
        <family val="3"/>
      </rPr>
      <t>b</t>
    </r>
  </si>
  <si>
    <t>湿り部分の
表面積</t>
  </si>
  <si>
    <t>湿り部分の
列数</t>
  </si>
  <si>
    <t>コイル仕様</t>
  </si>
  <si>
    <t>合計列数</t>
  </si>
  <si>
    <t>コイル長さ</t>
  </si>
  <si>
    <t>コイル高さ</t>
  </si>
  <si>
    <t>管内許容水流速</t>
  </si>
  <si>
    <t>フィン熱伝導率</t>
  </si>
  <si>
    <t>kcal/mh℃</t>
  </si>
  <si>
    <t>(表5.14より)</t>
  </si>
  <si>
    <t>(図5.21より)</t>
  </si>
  <si>
    <t>出口水温における
空気のエンタルピ
kcal/kg(DA)</t>
  </si>
  <si>
    <t>入口水温における
空気のエンタルピ
kcal/kg(DA)</t>
  </si>
  <si>
    <t>余裕係数をか
けた後の列数</t>
  </si>
  <si>
    <t>m</t>
  </si>
  <si>
    <t>m</t>
  </si>
  <si>
    <t>更に切上げて
決定した列数</t>
  </si>
  <si>
    <t>湿り部分の対数
平均エンタルピ差
MTD</t>
  </si>
  <si>
    <r>
      <t>出口空気の相対湿度を</t>
    </r>
    <r>
      <rPr>
        <b/>
        <sz val="12"/>
        <color indexed="10"/>
        <rFont val="ＭＳ Ｐゴシック"/>
        <family val="3"/>
      </rPr>
      <t>95％</t>
    </r>
    <r>
      <rPr>
        <b/>
        <sz val="12"/>
        <rFont val="ＭＳ Ｐゴシック"/>
        <family val="3"/>
      </rPr>
      <t>として、冷却量を計算</t>
    </r>
  </si>
  <si>
    <r>
      <t>計算条件（出口空気の相対湿度は</t>
    </r>
    <r>
      <rPr>
        <b/>
        <sz val="12"/>
        <color indexed="10"/>
        <rFont val="ＭＳ Ｐゴシック"/>
        <family val="3"/>
      </rPr>
      <t>95％</t>
    </r>
    <r>
      <rPr>
        <b/>
        <sz val="12"/>
        <rFont val="ＭＳ Ｐゴシック"/>
        <family val="3"/>
      </rPr>
      <t>とする）</t>
    </r>
  </si>
  <si>
    <t>15℃以下</t>
  </si>
  <si>
    <t>出入口水温差</t>
  </si>
  <si>
    <t>8℃以上</t>
  </si>
  <si>
    <t>16℃以上</t>
  </si>
  <si>
    <t>6℃以上</t>
  </si>
  <si>
    <r>
      <t>冷却除湿コイルの選定</t>
    </r>
    <r>
      <rPr>
        <b/>
        <sz val="14"/>
        <color indexed="52"/>
        <rFont val="ＭＳ Ｐゴシック"/>
        <family val="3"/>
      </rPr>
      <t>（AHU用－顕熱・潜熱ともに処理、</t>
    </r>
    <r>
      <rPr>
        <b/>
        <sz val="14"/>
        <color indexed="48"/>
        <rFont val="ＭＳ Ｐゴシック"/>
        <family val="3"/>
      </rPr>
      <t>分割あり</t>
    </r>
    <r>
      <rPr>
        <b/>
        <sz val="14"/>
        <color indexed="52"/>
        <rFont val="ＭＳ Ｐゴシック"/>
        <family val="3"/>
      </rPr>
      <t>）</t>
    </r>
  </si>
  <si>
    <r>
      <t>湿りコイルの計算</t>
    </r>
    <r>
      <rPr>
        <b/>
        <sz val="12"/>
        <color indexed="48"/>
        <rFont val="ＭＳ Ｐゴシック"/>
        <family val="3"/>
      </rPr>
      <t>（２分割、その１）</t>
    </r>
  </si>
  <si>
    <t>入口空気
エンタルピ</t>
  </si>
  <si>
    <r>
      <t>湿りコイルの計算</t>
    </r>
    <r>
      <rPr>
        <b/>
        <sz val="12"/>
        <color indexed="48"/>
        <rFont val="ＭＳ Ｐゴシック"/>
        <family val="3"/>
      </rPr>
      <t>（２分割、その２）</t>
    </r>
  </si>
  <si>
    <r>
      <t>湿りコイル</t>
    </r>
    <r>
      <rPr>
        <sz val="8"/>
        <rFont val="ＭＳ Ｐゴシック"/>
        <family val="3"/>
      </rPr>
      <t>の部分を</t>
    </r>
    <r>
      <rPr>
        <sz val="8"/>
        <color indexed="10"/>
        <rFont val="ＭＳ Ｐゴシック"/>
        <family val="3"/>
      </rPr>
      <t>2分割</t>
    </r>
    <r>
      <rPr>
        <sz val="8"/>
        <rFont val="ＭＳ Ｐゴシック"/>
        <family val="3"/>
      </rPr>
      <t xml:space="preserve">
して計算する必要がある</t>
    </r>
  </si>
  <si>
    <t>2列未満は10％増し、4列以上は5％増しとするため、最終的に列数は以下となる</t>
  </si>
  <si>
    <t>kcal/kg(DA)</t>
  </si>
  <si>
    <t>この色の部分は計算条件として入力する必要がある</t>
  </si>
  <si>
    <t>この色の部分は入力したほうが良いが、計算結果に影響しない。</t>
  </si>
  <si>
    <t>計算は、井上宇市著  「改定３版　空気調和ハンドブック」、pp.170-180  　を参照した。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</si>
</sst>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0.0000"/>
    <numFmt numFmtId="179" formatCode="0.000"/>
    <numFmt numFmtId="180" formatCode="0.0000000"/>
    <numFmt numFmtId="181" formatCode="0.000000"/>
    <numFmt numFmtId="182" formatCode="0.0_);[Red]\(0.0\)"/>
    <numFmt numFmtId="183" formatCode="0.00000000"/>
    <numFmt numFmtId="184" formatCode="0.00_);[Red]\(0.00\)"/>
    <numFmt numFmtId="185" formatCode="0.0000000000000_);[Red]\(0.0000000000000\)"/>
    <numFmt numFmtId="186" formatCode="0.00000000000000_);[Red]\(0.00000000000000\)"/>
    <numFmt numFmtId="187" formatCode="0.000000000000_);[Red]\(0.000000000000\)"/>
    <numFmt numFmtId="188" formatCode="0.00000000000_);[Red]\(0.00000000000\)"/>
    <numFmt numFmtId="189" formatCode="0.0000000000_);[Red]\(0.0000000000\)"/>
    <numFmt numFmtId="190" formatCode="0.000000000_);[Red]\(0.000000000\)"/>
    <numFmt numFmtId="191" formatCode="0.00000000_);[Red]\(0.00000000\)"/>
    <numFmt numFmtId="192" formatCode="0.0000000_);[Red]\(0.0000000\)"/>
    <numFmt numFmtId="193" formatCode="0.000000_);[Red]\(0.000000\)"/>
    <numFmt numFmtId="194" formatCode="0.00000_);[Red]\(0.00000\)"/>
    <numFmt numFmtId="195" formatCode="0.0000_);[Red]\(0.0000\)"/>
    <numFmt numFmtId="196" formatCode="0.000_);[Red]\(0.000\)"/>
    <numFmt numFmtId="197" formatCode="0_);[Red]\(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sz val="7"/>
      <name val="ＭＳ Ｐゴシック"/>
      <family val="3"/>
    </font>
    <font>
      <vertAlign val="subscript"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vertAlign val="subscript"/>
      <sz val="8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4"/>
      <color indexed="12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b/>
      <sz val="26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4"/>
      <name val="ＭＳ Ｐゴシック"/>
      <family val="3"/>
    </font>
    <font>
      <b/>
      <sz val="14"/>
      <color indexed="52"/>
      <name val="ＭＳ Ｐゴシック"/>
      <family val="3"/>
    </font>
    <font>
      <b/>
      <sz val="14"/>
      <color indexed="48"/>
      <name val="ＭＳ Ｐゴシック"/>
      <family val="3"/>
    </font>
    <font>
      <b/>
      <sz val="12"/>
      <color indexed="48"/>
      <name val="ＭＳ Ｐゴシック"/>
      <family val="3"/>
    </font>
    <font>
      <sz val="8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38" fontId="2" fillId="2" borderId="1" xfId="17" applyFont="1" applyFill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176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76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179" fontId="2" fillId="2" borderId="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38" fontId="2" fillId="0" borderId="30" xfId="17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176" fontId="2" fillId="3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left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179" fontId="2" fillId="0" borderId="9" xfId="0" applyNumberFormat="1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left" vertical="center"/>
      <protection hidden="1"/>
    </xf>
    <xf numFmtId="179" fontId="2" fillId="0" borderId="7" xfId="0" applyNumberFormat="1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left" vertical="center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2" fontId="2" fillId="0" borderId="9" xfId="0" applyNumberFormat="1" applyFont="1" applyBorder="1" applyAlignment="1" applyProtection="1">
      <alignment horizontal="center" vertical="center"/>
      <protection hidden="1"/>
    </xf>
    <xf numFmtId="2" fontId="2" fillId="0" borderId="7" xfId="0" applyNumberFormat="1" applyFont="1" applyBorder="1" applyAlignment="1" applyProtection="1">
      <alignment horizontal="center" vertical="center"/>
      <protection hidden="1"/>
    </xf>
    <xf numFmtId="177" fontId="2" fillId="0" borderId="9" xfId="0" applyNumberFormat="1" applyFont="1" applyBorder="1" applyAlignment="1" applyProtection="1">
      <alignment horizontal="center" vertical="center"/>
      <protection hidden="1"/>
    </xf>
    <xf numFmtId="177" fontId="2" fillId="0" borderId="7" xfId="0" applyNumberFormat="1" applyFont="1" applyBorder="1" applyAlignment="1" applyProtection="1">
      <alignment horizontal="center" vertical="center"/>
      <protection hidden="1"/>
    </xf>
    <xf numFmtId="38" fontId="2" fillId="0" borderId="9" xfId="17" applyFont="1" applyBorder="1" applyAlignment="1" applyProtection="1">
      <alignment horizontal="center" vertical="center"/>
      <protection hidden="1"/>
    </xf>
    <xf numFmtId="38" fontId="2" fillId="0" borderId="7" xfId="17" applyFont="1" applyBorder="1" applyAlignment="1" applyProtection="1">
      <alignment horizontal="center" vertical="center"/>
      <protection hidden="1"/>
    </xf>
    <xf numFmtId="182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38" fontId="2" fillId="0" borderId="8" xfId="17" applyFont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horizontal="center" vertical="center"/>
      <protection hidden="1"/>
    </xf>
    <xf numFmtId="2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182" fontId="2" fillId="0" borderId="9" xfId="0" applyNumberFormat="1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left" vertical="center"/>
      <protection hidden="1"/>
    </xf>
    <xf numFmtId="184" fontId="2" fillId="0" borderId="9" xfId="0" applyNumberFormat="1" applyFont="1" applyBorder="1" applyAlignment="1" applyProtection="1">
      <alignment horizontal="center" vertical="center"/>
      <protection hidden="1"/>
    </xf>
    <xf numFmtId="184" fontId="2" fillId="0" borderId="7" xfId="0" applyNumberFormat="1" applyFont="1" applyBorder="1" applyAlignment="1" applyProtection="1">
      <alignment horizontal="center" vertical="center"/>
      <protection hidden="1"/>
    </xf>
    <xf numFmtId="1" fontId="2" fillId="0" borderId="9" xfId="0" applyNumberFormat="1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177" fontId="2" fillId="0" borderId="1" xfId="0" applyNumberFormat="1" applyFont="1" applyBorder="1" applyAlignment="1" applyProtection="1">
      <alignment horizontal="center" vertical="center"/>
      <protection hidden="1"/>
    </xf>
    <xf numFmtId="176" fontId="2" fillId="0" borderId="9" xfId="0" applyNumberFormat="1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left" vertical="center"/>
      <protection hidden="1"/>
    </xf>
    <xf numFmtId="176" fontId="2" fillId="0" borderId="7" xfId="0" applyNumberFormat="1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182" fontId="2" fillId="0" borderId="9" xfId="0" applyNumberFormat="1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center" vertical="center"/>
      <protection hidden="1"/>
    </xf>
    <xf numFmtId="2" fontId="18" fillId="0" borderId="49" xfId="0" applyNumberFormat="1" applyFont="1" applyBorder="1" applyAlignment="1" applyProtection="1">
      <alignment horizontal="center" vertical="center"/>
      <protection hidden="1"/>
    </xf>
    <xf numFmtId="2" fontId="2" fillId="0" borderId="43" xfId="0" applyNumberFormat="1" applyFont="1" applyBorder="1" applyAlignment="1" applyProtection="1">
      <alignment horizontal="center" vertical="center"/>
      <protection hidden="1"/>
    </xf>
    <xf numFmtId="2" fontId="18" fillId="0" borderId="43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2" fontId="2" fillId="0" borderId="49" xfId="0" applyNumberFormat="1" applyFont="1" applyFill="1" applyBorder="1" applyAlignment="1" applyProtection="1">
      <alignment horizontal="center" vertical="center"/>
      <protection hidden="1"/>
    </xf>
    <xf numFmtId="177" fontId="2" fillId="0" borderId="28" xfId="0" applyNumberFormat="1" applyFont="1" applyBorder="1" applyAlignment="1" applyProtection="1">
      <alignment horizontal="center" vertical="center"/>
      <protection hidden="1"/>
    </xf>
    <xf numFmtId="2" fontId="2" fillId="0" borderId="43" xfId="0" applyNumberFormat="1" applyFont="1" applyFill="1" applyBorder="1" applyAlignment="1" applyProtection="1">
      <alignment horizontal="center" vertical="center"/>
      <protection hidden="1"/>
    </xf>
    <xf numFmtId="177" fontId="2" fillId="0" borderId="23" xfId="0" applyNumberFormat="1" applyFont="1" applyBorder="1" applyAlignment="1" applyProtection="1">
      <alignment horizontal="center" vertical="center"/>
      <protection hidden="1"/>
    </xf>
    <xf numFmtId="176" fontId="2" fillId="0" borderId="16" xfId="0" applyNumberFormat="1" applyFont="1" applyBorder="1" applyAlignment="1" applyProtection="1">
      <alignment horizontal="center" vertical="center"/>
      <protection hidden="1"/>
    </xf>
    <xf numFmtId="176" fontId="2" fillId="0" borderId="43" xfId="0" applyNumberFormat="1" applyFont="1" applyFill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 wrapText="1"/>
      <protection hidden="1"/>
    </xf>
    <xf numFmtId="2" fontId="2" fillId="0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179" fontId="2" fillId="0" borderId="8" xfId="0" applyNumberFormat="1" applyFont="1" applyBorder="1" applyAlignment="1" applyProtection="1">
      <alignment horizontal="center" vertical="center"/>
      <protection hidden="1"/>
    </xf>
    <xf numFmtId="0" fontId="8" fillId="0" borderId="5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2" fontId="18" fillId="0" borderId="0" xfId="0" applyNumberFormat="1" applyFont="1" applyBorder="1" applyAlignment="1" applyProtection="1">
      <alignment horizontal="center" vertical="center"/>
      <protection hidden="1"/>
    </xf>
    <xf numFmtId="2" fontId="2" fillId="0" borderId="43" xfId="0" applyNumberFormat="1" applyFont="1" applyFill="1" applyBorder="1" applyAlignment="1" applyProtection="1">
      <alignment horizontal="center" vertical="center"/>
      <protection hidden="1"/>
    </xf>
    <xf numFmtId="0" fontId="10" fillId="0" borderId="47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184" fontId="2" fillId="0" borderId="51" xfId="0" applyNumberFormat="1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1" fontId="13" fillId="0" borderId="51" xfId="0" applyNumberFormat="1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left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176" fontId="13" fillId="0" borderId="51" xfId="0" applyNumberFormat="1" applyFont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left" vertical="center"/>
      <protection hidden="1"/>
    </xf>
    <xf numFmtId="0" fontId="13" fillId="0" borderId="51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197" fontId="16" fillId="0" borderId="51" xfId="0" applyNumberFormat="1" applyFont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left"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96" fontId="11" fillId="0" borderId="0" xfId="0" applyNumberFormat="1" applyFont="1" applyBorder="1" applyAlignment="1" applyProtection="1">
      <alignment horizontal="center" vertical="center"/>
      <protection hidden="1"/>
    </xf>
    <xf numFmtId="0" fontId="8" fillId="0" borderId="48" xfId="0" applyFont="1" applyBorder="1" applyAlignment="1" applyProtection="1">
      <alignment horizontal="center" vertical="center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52" xfId="0" applyFont="1" applyBorder="1" applyAlignment="1" applyProtection="1">
      <alignment horizontal="center" vertical="center"/>
      <protection hidden="1"/>
    </xf>
    <xf numFmtId="0" fontId="8" fillId="0" borderId="53" xfId="0" applyFont="1" applyBorder="1" applyAlignment="1" applyProtection="1">
      <alignment horizontal="center" vertical="center"/>
      <protection hidden="1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23" fillId="0" borderId="55" xfId="0" applyFont="1" applyBorder="1" applyAlignment="1" applyProtection="1">
      <alignment horizontal="center" vertical="center" wrapText="1"/>
      <protection hidden="1"/>
    </xf>
    <xf numFmtId="0" fontId="8" fillId="0" borderId="56" xfId="0" applyFont="1" applyBorder="1" applyAlignment="1" applyProtection="1">
      <alignment horizontal="center" vertical="center"/>
      <protection hidden="1"/>
    </xf>
    <xf numFmtId="0" fontId="8" fillId="0" borderId="57" xfId="0" applyFont="1" applyBorder="1" applyAlignment="1" applyProtection="1">
      <alignment horizontal="center" vertical="center"/>
      <protection hidden="1"/>
    </xf>
    <xf numFmtId="0" fontId="8" fillId="0" borderId="45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70">
      <selection activeCell="E35" sqref="E35"/>
    </sheetView>
  </sheetViews>
  <sheetFormatPr defaultColWidth="9.00390625" defaultRowHeight="19.5" customHeight="1"/>
  <cols>
    <col min="1" max="1" width="9.375" style="15" customWidth="1"/>
    <col min="2" max="2" width="9.50390625" style="15" customWidth="1"/>
    <col min="3" max="3" width="9.625" style="15" customWidth="1"/>
    <col min="4" max="4" width="9.50390625" style="15" customWidth="1"/>
    <col min="5" max="5" width="8.75390625" style="15" customWidth="1"/>
    <col min="6" max="7" width="9.50390625" style="15" customWidth="1"/>
    <col min="8" max="8" width="9.375" style="15" customWidth="1"/>
    <col min="9" max="9" width="8.50390625" style="15" customWidth="1"/>
    <col min="10" max="16384" width="9.00390625" style="15" customWidth="1"/>
  </cols>
  <sheetData>
    <row r="1" spans="1:9" ht="26.25" customHeight="1" thickBot="1">
      <c r="A1" s="14" t="s">
        <v>132</v>
      </c>
      <c r="B1" s="14"/>
      <c r="C1" s="14"/>
      <c r="D1" s="14"/>
      <c r="E1" s="14"/>
      <c r="F1" s="14"/>
      <c r="G1" s="14"/>
      <c r="H1" s="14"/>
      <c r="I1" s="14"/>
    </row>
    <row r="2" spans="1:9" ht="19.5" customHeight="1" thickBot="1">
      <c r="A2" s="16" t="s">
        <v>16</v>
      </c>
      <c r="B2" s="17"/>
      <c r="C2" s="17"/>
      <c r="D2" s="17"/>
      <c r="E2" s="17"/>
      <c r="F2" s="17"/>
      <c r="G2" s="17"/>
      <c r="H2" s="17"/>
      <c r="I2" s="18"/>
    </row>
    <row r="3" spans="1:9" ht="19.5" customHeight="1">
      <c r="A3" s="19" t="s">
        <v>10</v>
      </c>
      <c r="B3" s="20" t="s">
        <v>11</v>
      </c>
      <c r="C3" s="1">
        <v>2.9</v>
      </c>
      <c r="D3" s="21" t="s">
        <v>0</v>
      </c>
      <c r="E3" s="19" t="s">
        <v>14</v>
      </c>
      <c r="F3" s="22" t="s">
        <v>7</v>
      </c>
      <c r="G3" s="20" t="s">
        <v>8</v>
      </c>
      <c r="H3" s="1">
        <v>15.8</v>
      </c>
      <c r="I3" s="21" t="s">
        <v>2</v>
      </c>
    </row>
    <row r="4" spans="1:9" ht="19.5" customHeight="1">
      <c r="A4" s="23"/>
      <c r="B4" s="24" t="s">
        <v>12</v>
      </c>
      <c r="C4" s="2">
        <v>0.2</v>
      </c>
      <c r="D4" s="25" t="s">
        <v>0</v>
      </c>
      <c r="E4" s="23"/>
      <c r="F4" s="26"/>
      <c r="G4" s="27" t="s">
        <v>9</v>
      </c>
      <c r="H4" s="3">
        <v>14.6</v>
      </c>
      <c r="I4" s="28" t="s">
        <v>2</v>
      </c>
    </row>
    <row r="5" spans="1:9" ht="19.5" customHeight="1">
      <c r="A5" s="23"/>
      <c r="B5" s="24" t="s">
        <v>13</v>
      </c>
      <c r="C5" s="29" t="s">
        <v>1</v>
      </c>
      <c r="D5" s="30"/>
      <c r="E5" s="23"/>
      <c r="F5" s="31" t="s">
        <v>3</v>
      </c>
      <c r="G5" s="24" t="s">
        <v>4</v>
      </c>
      <c r="H5" s="2">
        <v>32.9</v>
      </c>
      <c r="I5" s="25" t="s">
        <v>6</v>
      </c>
    </row>
    <row r="6" spans="1:9" ht="19.5" customHeight="1">
      <c r="A6" s="23"/>
      <c r="B6" s="32" t="s">
        <v>114</v>
      </c>
      <c r="C6" s="2">
        <v>175</v>
      </c>
      <c r="D6" s="25" t="s">
        <v>115</v>
      </c>
      <c r="E6" s="23"/>
      <c r="F6" s="26"/>
      <c r="G6" s="27" t="s">
        <v>5</v>
      </c>
      <c r="H6" s="3">
        <v>37.5</v>
      </c>
      <c r="I6" s="28" t="s">
        <v>6</v>
      </c>
    </row>
    <row r="7" spans="1:10" ht="19.5" customHeight="1" thickBot="1">
      <c r="A7" s="33"/>
      <c r="B7" s="34"/>
      <c r="C7" s="34"/>
      <c r="D7" s="35"/>
      <c r="E7" s="33"/>
      <c r="F7" s="36" t="s">
        <v>13</v>
      </c>
      <c r="G7" s="37" t="s">
        <v>15</v>
      </c>
      <c r="H7" s="38"/>
      <c r="I7" s="39"/>
      <c r="J7" s="40"/>
    </row>
    <row r="8" spans="1:9" ht="19.5" customHeight="1" thickBot="1">
      <c r="A8" s="16" t="s">
        <v>126</v>
      </c>
      <c r="B8" s="17"/>
      <c r="C8" s="17"/>
      <c r="D8" s="17"/>
      <c r="E8" s="41"/>
      <c r="F8" s="41"/>
      <c r="G8" s="41"/>
      <c r="H8" s="41"/>
      <c r="I8" s="42"/>
    </row>
    <row r="9" spans="1:9" ht="19.5" customHeight="1">
      <c r="A9" s="43" t="s">
        <v>17</v>
      </c>
      <c r="B9" s="44" t="s">
        <v>19</v>
      </c>
      <c r="C9" s="4">
        <v>6750</v>
      </c>
      <c r="D9" s="21" t="s">
        <v>18</v>
      </c>
      <c r="E9" s="19" t="s">
        <v>23</v>
      </c>
      <c r="F9" s="20" t="s">
        <v>24</v>
      </c>
      <c r="G9" s="5">
        <v>5</v>
      </c>
      <c r="H9" s="45" t="s">
        <v>25</v>
      </c>
      <c r="I9" s="46" t="s">
        <v>60</v>
      </c>
    </row>
    <row r="10" spans="1:9" ht="19.5" customHeight="1" thickBot="1">
      <c r="A10" s="47"/>
      <c r="B10" s="48" t="s">
        <v>54</v>
      </c>
      <c r="C10" s="6">
        <v>32</v>
      </c>
      <c r="D10" s="49" t="s">
        <v>20</v>
      </c>
      <c r="E10" s="33"/>
      <c r="F10" s="50" t="s">
        <v>113</v>
      </c>
      <c r="G10" s="51">
        <v>1</v>
      </c>
      <c r="H10" s="52" t="s">
        <v>26</v>
      </c>
      <c r="I10" s="7">
        <v>6.5</v>
      </c>
    </row>
    <row r="11" spans="1:9" ht="19.5" customHeight="1" thickBot="1">
      <c r="A11" s="47"/>
      <c r="B11" s="53" t="s">
        <v>55</v>
      </c>
      <c r="C11" s="3">
        <v>20.25</v>
      </c>
      <c r="D11" s="54" t="s">
        <v>21</v>
      </c>
      <c r="E11" s="27" t="s">
        <v>28</v>
      </c>
      <c r="F11" s="3">
        <v>2.5</v>
      </c>
      <c r="G11" s="28" t="s">
        <v>27</v>
      </c>
      <c r="H11" s="55"/>
      <c r="I11" s="55"/>
    </row>
    <row r="12" spans="1:9" ht="19.5" customHeight="1">
      <c r="A12" s="47"/>
      <c r="B12" s="48" t="s">
        <v>52</v>
      </c>
      <c r="C12" s="6">
        <v>16</v>
      </c>
      <c r="D12" s="56" t="s">
        <v>22</v>
      </c>
      <c r="E12" s="57" t="s">
        <v>49</v>
      </c>
      <c r="F12" s="58"/>
      <c r="G12" s="59" t="s">
        <v>50</v>
      </c>
      <c r="H12" s="8">
        <v>26.2</v>
      </c>
      <c r="I12" s="60" t="s">
        <v>48</v>
      </c>
    </row>
    <row r="13" spans="1:9" ht="19.5" customHeight="1" thickBot="1">
      <c r="A13" s="61"/>
      <c r="B13" s="62" t="s">
        <v>53</v>
      </c>
      <c r="C13" s="9">
        <v>10.37</v>
      </c>
      <c r="D13" s="52" t="s">
        <v>21</v>
      </c>
      <c r="E13" s="63"/>
      <c r="F13" s="64"/>
      <c r="G13" s="65" t="s">
        <v>51</v>
      </c>
      <c r="H13" s="9">
        <v>18.8</v>
      </c>
      <c r="I13" s="66" t="s">
        <v>138</v>
      </c>
    </row>
    <row r="14" spans="1:4" ht="19.5" customHeight="1" thickBot="1">
      <c r="A14" s="67"/>
      <c r="B14" s="34"/>
      <c r="C14" s="34"/>
      <c r="D14" s="52"/>
    </row>
    <row r="15" spans="1:9" ht="19.5" customHeight="1" thickBot="1">
      <c r="A15" s="16" t="s">
        <v>47</v>
      </c>
      <c r="B15" s="17"/>
      <c r="C15" s="17"/>
      <c r="D15" s="17"/>
      <c r="E15" s="17"/>
      <c r="F15" s="17"/>
      <c r="G15" s="17"/>
      <c r="H15" s="17"/>
      <c r="I15" s="18"/>
    </row>
    <row r="16" spans="1:9" ht="19.5" customHeight="1" thickBot="1">
      <c r="A16" s="68" t="s">
        <v>29</v>
      </c>
      <c r="B16" s="69">
        <f>C9/(3600*F11)</f>
        <v>0.75</v>
      </c>
      <c r="C16" s="70" t="s">
        <v>30</v>
      </c>
      <c r="D16" s="68" t="s">
        <v>31</v>
      </c>
      <c r="E16" s="10">
        <v>1</v>
      </c>
      <c r="F16" s="70" t="s">
        <v>32</v>
      </c>
      <c r="G16" s="68" t="s">
        <v>33</v>
      </c>
      <c r="H16" s="69">
        <f>B16/E16</f>
        <v>0.75</v>
      </c>
      <c r="I16" s="70" t="s">
        <v>32</v>
      </c>
    </row>
    <row r="17" spans="1:4" ht="19.5" customHeight="1" thickBot="1">
      <c r="A17" s="68" t="s">
        <v>34</v>
      </c>
      <c r="B17" s="71">
        <f>H16*1000/H6</f>
        <v>20</v>
      </c>
      <c r="C17" s="70" t="s">
        <v>35</v>
      </c>
      <c r="D17" s="72"/>
    </row>
    <row r="18" spans="1:9" ht="19.5" customHeight="1">
      <c r="A18" s="73" t="s">
        <v>37</v>
      </c>
      <c r="B18" s="74">
        <f>2*(H16*H5/1000-B17*0.25*3.1415926*(H3/1000)^2)*E16*1000/C3</f>
        <v>14.312871804606894</v>
      </c>
      <c r="C18" s="75" t="s">
        <v>36</v>
      </c>
      <c r="D18" s="73" t="s">
        <v>40</v>
      </c>
      <c r="E18" s="74">
        <f>3.1415926*H4/1000*E16*B17</f>
        <v>0.9173450391999999</v>
      </c>
      <c r="F18" s="75" t="s">
        <v>36</v>
      </c>
      <c r="G18" s="73" t="s">
        <v>41</v>
      </c>
      <c r="H18" s="74">
        <f>B16-H3/1000*E16*B17-H16*C4/1000*E16*1000/C3+H3/1000*C4/1000*B17*E16*1000/C3</f>
        <v>0.40406896551724136</v>
      </c>
      <c r="I18" s="75" t="s">
        <v>36</v>
      </c>
    </row>
    <row r="19" spans="1:9" ht="19.5" customHeight="1" thickBot="1">
      <c r="A19" s="33"/>
      <c r="B19" s="76"/>
      <c r="C19" s="77"/>
      <c r="D19" s="33"/>
      <c r="E19" s="76"/>
      <c r="F19" s="77"/>
      <c r="G19" s="78"/>
      <c r="H19" s="76"/>
      <c r="I19" s="77"/>
    </row>
    <row r="20" spans="1:9" ht="19.5" customHeight="1">
      <c r="A20" s="19" t="s">
        <v>38</v>
      </c>
      <c r="B20" s="79">
        <f>B18/B16</f>
        <v>19.08382907280919</v>
      </c>
      <c r="C20" s="75" t="s">
        <v>39</v>
      </c>
      <c r="D20" s="19" t="s">
        <v>42</v>
      </c>
      <c r="E20" s="74">
        <f>E18/B16</f>
        <v>1.2231267189333332</v>
      </c>
      <c r="F20" s="75" t="s">
        <v>39</v>
      </c>
      <c r="G20" s="19" t="s">
        <v>43</v>
      </c>
      <c r="H20" s="74">
        <f>H18/B16</f>
        <v>0.5387586206896552</v>
      </c>
      <c r="I20" s="75" t="s">
        <v>39</v>
      </c>
    </row>
    <row r="21" spans="1:9" ht="19.5" customHeight="1" thickBot="1">
      <c r="A21" s="33"/>
      <c r="B21" s="80"/>
      <c r="C21" s="77"/>
      <c r="D21" s="33"/>
      <c r="E21" s="76"/>
      <c r="F21" s="77"/>
      <c r="G21" s="33"/>
      <c r="H21" s="76"/>
      <c r="I21" s="77"/>
    </row>
    <row r="22" spans="1:6" ht="19.5" customHeight="1">
      <c r="A22" s="73" t="s">
        <v>44</v>
      </c>
      <c r="B22" s="81">
        <f>4*H18*H5/1000/B18</f>
        <v>0.0037152205782317797</v>
      </c>
      <c r="C22" s="75" t="s">
        <v>45</v>
      </c>
      <c r="D22" s="73" t="s">
        <v>46</v>
      </c>
      <c r="E22" s="79">
        <f>B18/E18</f>
        <v>15.60249545480607</v>
      </c>
      <c r="F22" s="75" t="s">
        <v>39</v>
      </c>
    </row>
    <row r="23" spans="1:6" ht="19.5" customHeight="1" thickBot="1">
      <c r="A23" s="33"/>
      <c r="B23" s="82"/>
      <c r="C23" s="77"/>
      <c r="D23" s="78"/>
      <c r="E23" s="80"/>
      <c r="F23" s="77"/>
    </row>
    <row r="24" ht="19.5" customHeight="1" thickBot="1"/>
    <row r="25" spans="1:9" ht="19.5" customHeight="1" thickBot="1">
      <c r="A25" s="16" t="s">
        <v>125</v>
      </c>
      <c r="B25" s="17"/>
      <c r="C25" s="17"/>
      <c r="D25" s="17"/>
      <c r="E25" s="17"/>
      <c r="F25" s="17"/>
      <c r="G25" s="17"/>
      <c r="H25" s="17"/>
      <c r="I25" s="18"/>
    </row>
    <row r="26" spans="1:9" ht="19.5" customHeight="1">
      <c r="A26" s="73" t="s">
        <v>57</v>
      </c>
      <c r="B26" s="83">
        <f>1.2*C9*(C11-H13)</f>
        <v>11744.999999999995</v>
      </c>
      <c r="C26" s="75" t="s">
        <v>56</v>
      </c>
      <c r="D26" s="73" t="s">
        <v>59</v>
      </c>
      <c r="E26" s="83">
        <f>1.2*C9*(H13-C13)</f>
        <v>68283.00000000001</v>
      </c>
      <c r="F26" s="75" t="s">
        <v>56</v>
      </c>
      <c r="G26" s="73" t="s">
        <v>58</v>
      </c>
      <c r="H26" s="83">
        <f>1.2*C9*(C11-C13)</f>
        <v>80028</v>
      </c>
      <c r="I26" s="75" t="s">
        <v>56</v>
      </c>
    </row>
    <row r="27" spans="1:9" ht="19.5" customHeight="1" thickBot="1">
      <c r="A27" s="33"/>
      <c r="B27" s="84"/>
      <c r="C27" s="77"/>
      <c r="D27" s="33"/>
      <c r="E27" s="84"/>
      <c r="F27" s="77"/>
      <c r="G27" s="33"/>
      <c r="H27" s="84"/>
      <c r="I27" s="77"/>
    </row>
    <row r="28" ht="19.5" customHeight="1" thickBot="1"/>
    <row r="29" spans="1:9" ht="19.5" customHeight="1" thickBot="1">
      <c r="A29" s="68" t="s">
        <v>61</v>
      </c>
      <c r="B29" s="85">
        <f>G9+I10</f>
        <v>11.5</v>
      </c>
      <c r="C29" s="86" t="s">
        <v>62</v>
      </c>
      <c r="D29" s="68" t="s">
        <v>64</v>
      </c>
      <c r="E29" s="87">
        <f>H26/I10</f>
        <v>12312</v>
      </c>
      <c r="F29" s="70" t="s">
        <v>63</v>
      </c>
      <c r="G29" s="88" t="s">
        <v>65</v>
      </c>
      <c r="H29" s="89">
        <f>E29/(3600*0.25*3.1415926*(H4/1000)^2*B17*1000)</f>
        <v>1.0214109864124754</v>
      </c>
      <c r="I29" s="70" t="s">
        <v>26</v>
      </c>
    </row>
    <row r="30" spans="1:6" ht="19.5" customHeight="1" thickBot="1">
      <c r="A30" s="68" t="s">
        <v>66</v>
      </c>
      <c r="B30" s="89">
        <f>F11/H20</f>
        <v>4.640296979006656</v>
      </c>
      <c r="C30" s="70" t="s">
        <v>26</v>
      </c>
      <c r="D30" s="90"/>
      <c r="E30" s="91"/>
      <c r="F30" s="92"/>
    </row>
    <row r="31" ht="19.5" customHeight="1" thickBot="1"/>
    <row r="32" spans="1:9" ht="19.5" customHeight="1" thickBot="1">
      <c r="A32" s="16" t="s">
        <v>67</v>
      </c>
      <c r="B32" s="17"/>
      <c r="C32" s="17"/>
      <c r="D32" s="17"/>
      <c r="E32" s="17"/>
      <c r="F32" s="17"/>
      <c r="G32" s="17"/>
      <c r="H32" s="17"/>
      <c r="I32" s="18"/>
    </row>
    <row r="33" spans="1:9" ht="19.5" customHeight="1">
      <c r="A33" s="73" t="s">
        <v>68</v>
      </c>
      <c r="B33" s="79">
        <f>B26/E29</f>
        <v>0.9539473684210522</v>
      </c>
      <c r="C33" s="75" t="s">
        <v>69</v>
      </c>
      <c r="D33" s="73" t="s">
        <v>70</v>
      </c>
      <c r="E33" s="93">
        <f>B29-B33</f>
        <v>10.546052631578949</v>
      </c>
      <c r="F33" s="75" t="s">
        <v>62</v>
      </c>
      <c r="G33" s="73" t="s">
        <v>71</v>
      </c>
      <c r="H33" s="93">
        <f>0.5*(E33+B29)</f>
        <v>11.023026315789474</v>
      </c>
      <c r="I33" s="75" t="s">
        <v>62</v>
      </c>
    </row>
    <row r="34" spans="1:9" ht="19.5" customHeight="1" thickBot="1">
      <c r="A34" s="33"/>
      <c r="B34" s="80"/>
      <c r="C34" s="77"/>
      <c r="D34" s="33"/>
      <c r="E34" s="94"/>
      <c r="F34" s="77"/>
      <c r="G34" s="33"/>
      <c r="H34" s="94"/>
      <c r="I34" s="77"/>
    </row>
    <row r="35" spans="1:9" ht="19.5" customHeight="1">
      <c r="A35" s="73" t="s">
        <v>73</v>
      </c>
      <c r="B35" s="95">
        <f>3100*(1+0.015*H33)*H29^0.8/(H4/10)^0.2</f>
        <v>3406.4828499640835</v>
      </c>
      <c r="C35" s="75" t="s">
        <v>72</v>
      </c>
      <c r="D35" s="96" t="s">
        <v>75</v>
      </c>
      <c r="E35" s="97">
        <f>(0.0241+0.000077*(C10+H12)/2)/1.163</f>
        <v>0.022648925193465178</v>
      </c>
      <c r="F35" s="21" t="s">
        <v>76</v>
      </c>
      <c r="G35" s="73" t="s">
        <v>74</v>
      </c>
      <c r="H35" s="98">
        <f>0.129*B30^0.64*E35/(E36^0.64*B22^0.36)</f>
        <v>70.16951766124548</v>
      </c>
      <c r="I35" s="75" t="s">
        <v>72</v>
      </c>
    </row>
    <row r="36" spans="1:9" ht="19.5" customHeight="1" thickBot="1">
      <c r="A36" s="33"/>
      <c r="B36" s="99"/>
      <c r="C36" s="77"/>
      <c r="D36" s="100" t="s">
        <v>78</v>
      </c>
      <c r="E36" s="34">
        <f>(0.0074237/(390.15+(H12+C10)/2))*((273.15+(H12+C10)/2)/293.15)^1.5/1.2</f>
        <v>1.5448300631360398E-05</v>
      </c>
      <c r="F36" s="101" t="s">
        <v>77</v>
      </c>
      <c r="G36" s="33"/>
      <c r="H36" s="102"/>
      <c r="I36" s="77"/>
    </row>
    <row r="37" spans="1:6" ht="19.5" customHeight="1" thickBot="1">
      <c r="A37" s="103" t="s">
        <v>79</v>
      </c>
      <c r="B37" s="11">
        <v>0.0001</v>
      </c>
      <c r="C37" s="104" t="s">
        <v>80</v>
      </c>
      <c r="D37" s="105" t="s">
        <v>81</v>
      </c>
      <c r="E37" s="11">
        <v>0.0002</v>
      </c>
      <c r="F37" s="104" t="s">
        <v>80</v>
      </c>
    </row>
    <row r="38" spans="1:9" ht="19.5" customHeight="1" thickBot="1">
      <c r="A38" s="68" t="s">
        <v>82</v>
      </c>
      <c r="B38" s="89">
        <f>SQRT(H5/10*H6/10/3.1415926)/(H3/10/2)</f>
        <v>2.5084852916116063</v>
      </c>
      <c r="C38" s="70" t="s">
        <v>83</v>
      </c>
      <c r="D38" s="88" t="s">
        <v>84</v>
      </c>
      <c r="E38" s="89">
        <f>(SQRT(H5/10*H6/10/3.1415926)-(H3/10/2))/100*SQRT(H35/C6/(C4/2/1000))</f>
        <v>0.7546114533215867</v>
      </c>
      <c r="F38" s="70" t="s">
        <v>39</v>
      </c>
      <c r="G38" s="68" t="s">
        <v>85</v>
      </c>
      <c r="H38" s="12">
        <v>0.8</v>
      </c>
      <c r="I38" s="106" t="s">
        <v>117</v>
      </c>
    </row>
    <row r="39" spans="1:9" ht="19.5" customHeight="1">
      <c r="A39" s="73" t="s">
        <v>86</v>
      </c>
      <c r="B39" s="79">
        <f>1/(E22/B35+(B37+E37)*E22+1/(H35*(H38+1/E22)))</f>
        <v>38.829417636311</v>
      </c>
      <c r="C39" s="75" t="s">
        <v>72</v>
      </c>
      <c r="D39" s="107" t="s">
        <v>87</v>
      </c>
      <c r="E39" s="108">
        <f>C10-B29</f>
        <v>20.5</v>
      </c>
      <c r="F39" s="75" t="s">
        <v>22</v>
      </c>
      <c r="G39" s="107" t="s">
        <v>90</v>
      </c>
      <c r="H39" s="93">
        <f>H12-E33</f>
        <v>15.65394736842105</v>
      </c>
      <c r="I39" s="75" t="s">
        <v>22</v>
      </c>
    </row>
    <row r="40" spans="1:9" ht="19.5" customHeight="1" thickBot="1">
      <c r="A40" s="78"/>
      <c r="B40" s="80"/>
      <c r="C40" s="77"/>
      <c r="D40" s="109"/>
      <c r="E40" s="110"/>
      <c r="F40" s="77"/>
      <c r="G40" s="109"/>
      <c r="H40" s="110"/>
      <c r="I40" s="77"/>
    </row>
    <row r="41" spans="1:9" ht="19.5" customHeight="1">
      <c r="A41" s="107" t="s">
        <v>88</v>
      </c>
      <c r="B41" s="111">
        <f>(E39-H39)/LN(E39/H39)</f>
        <v>17.96818974753074</v>
      </c>
      <c r="C41" s="75" t="s">
        <v>69</v>
      </c>
      <c r="D41" s="73" t="s">
        <v>89</v>
      </c>
      <c r="E41" s="111">
        <f>B26/B39/B41</f>
        <v>16.834019227907504</v>
      </c>
      <c r="F41" s="75" t="s">
        <v>30</v>
      </c>
      <c r="G41" s="73" t="s">
        <v>91</v>
      </c>
      <c r="H41" s="112">
        <f>E41/B20/B16</f>
        <v>1.176145462470301</v>
      </c>
      <c r="I41" s="75" t="s">
        <v>92</v>
      </c>
    </row>
    <row r="42" spans="1:9" ht="19.5" customHeight="1" thickBot="1">
      <c r="A42" s="109"/>
      <c r="B42" s="113"/>
      <c r="C42" s="77"/>
      <c r="D42" s="78"/>
      <c r="E42" s="113"/>
      <c r="F42" s="77"/>
      <c r="G42" s="78"/>
      <c r="H42" s="114"/>
      <c r="I42" s="77"/>
    </row>
    <row r="43" ht="19.5" customHeight="1" thickBot="1"/>
    <row r="44" spans="1:9" ht="19.5" customHeight="1" thickBot="1">
      <c r="A44" s="16" t="s">
        <v>133</v>
      </c>
      <c r="B44" s="17"/>
      <c r="C44" s="17"/>
      <c r="D44" s="17"/>
      <c r="E44" s="17"/>
      <c r="F44" s="17"/>
      <c r="G44" s="17"/>
      <c r="H44" s="17"/>
      <c r="I44" s="18"/>
    </row>
    <row r="45" spans="1:9" ht="19.5" customHeight="1">
      <c r="A45" s="73" t="s">
        <v>93</v>
      </c>
      <c r="B45" s="79">
        <f>E26/2/E29</f>
        <v>2.7730263157894743</v>
      </c>
      <c r="C45" s="75" t="s">
        <v>69</v>
      </c>
      <c r="D45" s="73" t="s">
        <v>94</v>
      </c>
      <c r="E45" s="93">
        <f>G9+B45</f>
        <v>7.773026315789474</v>
      </c>
      <c r="F45" s="75" t="s">
        <v>62</v>
      </c>
      <c r="G45" s="73" t="s">
        <v>95</v>
      </c>
      <c r="H45" s="93">
        <f>0.5*(G9+E45)</f>
        <v>6.386513157894737</v>
      </c>
      <c r="I45" s="75" t="s">
        <v>62</v>
      </c>
    </row>
    <row r="46" spans="1:9" ht="19.5" customHeight="1" thickBot="1">
      <c r="A46" s="33"/>
      <c r="B46" s="80"/>
      <c r="C46" s="77"/>
      <c r="D46" s="33"/>
      <c r="E46" s="94"/>
      <c r="F46" s="77"/>
      <c r="G46" s="33"/>
      <c r="H46" s="94"/>
      <c r="I46" s="77"/>
    </row>
    <row r="47" spans="1:9" ht="19.5" customHeight="1">
      <c r="A47" s="115" t="s">
        <v>119</v>
      </c>
      <c r="B47" s="116">
        <f>0.24*G9+C47*(597.5+0.431*G9)</f>
        <v>4.437494454781056</v>
      </c>
      <c r="C47" s="117">
        <f>EXP((((3.819*10^-9*G9+1.2363*10^-6)*G9-2.8205*10^-4)*G9+7.307771*10^-2)*G9-5.580049)</f>
        <v>0.005398928475174986</v>
      </c>
      <c r="D47" s="115" t="s">
        <v>118</v>
      </c>
      <c r="E47" s="116">
        <f>0.24*E45+F47*(597.5+0.431*E45)</f>
        <v>5.800423265858253</v>
      </c>
      <c r="F47" s="117">
        <f>EXP((((3.819*10^-9*E45+1.2363*10^-6)*E45-2.8205*10^-4)*E45+7.307771*10^-2)*E45-5.580049)</f>
        <v>0.006548882097566594</v>
      </c>
      <c r="G47" s="96" t="s">
        <v>75</v>
      </c>
      <c r="H47" s="97">
        <f>(0.0241+0.000077*(H12+C12)/2)/1.163</f>
        <v>0.022119260533104042</v>
      </c>
      <c r="I47" s="21" t="s">
        <v>76</v>
      </c>
    </row>
    <row r="48" spans="1:9" ht="19.5" customHeight="1" thickBot="1">
      <c r="A48" s="33"/>
      <c r="B48" s="118"/>
      <c r="C48" s="119"/>
      <c r="D48" s="33"/>
      <c r="E48" s="118"/>
      <c r="F48" s="119"/>
      <c r="G48" s="100" t="s">
        <v>78</v>
      </c>
      <c r="H48" s="34">
        <f>(0.0074237/(390.15+(H12+C12)/2))*((273.15+(H12+C12)/2)/293.15)^1.5/1.2</f>
        <v>1.5127707397543052E-05</v>
      </c>
      <c r="I48" s="101" t="s">
        <v>77</v>
      </c>
    </row>
    <row r="49" spans="1:6" ht="24" customHeight="1" thickBot="1">
      <c r="A49" s="120" t="s">
        <v>96</v>
      </c>
      <c r="B49" s="121">
        <f>G9</f>
        <v>5</v>
      </c>
      <c r="C49" s="101" t="s">
        <v>48</v>
      </c>
      <c r="D49" s="122" t="s">
        <v>134</v>
      </c>
      <c r="E49" s="123">
        <f>E26/(2*1.2*C9)+C13</f>
        <v>14.585</v>
      </c>
      <c r="F49" s="70" t="s">
        <v>21</v>
      </c>
    </row>
    <row r="50" spans="1:9" ht="19.5" customHeight="1">
      <c r="A50" s="107" t="s">
        <v>97</v>
      </c>
      <c r="B50" s="93">
        <f>E49-E47</f>
        <v>8.784576734141748</v>
      </c>
      <c r="C50" s="75" t="s">
        <v>21</v>
      </c>
      <c r="D50" s="107" t="s">
        <v>98</v>
      </c>
      <c r="E50" s="93">
        <f>C13-B47</f>
        <v>5.932505545218943</v>
      </c>
      <c r="F50" s="75" t="s">
        <v>21</v>
      </c>
      <c r="G50" s="124" t="s">
        <v>124</v>
      </c>
      <c r="H50" s="111">
        <f>(B50-E50)/LN(B50/E50)</f>
        <v>7.265481288194773</v>
      </c>
      <c r="I50" s="75" t="s">
        <v>21</v>
      </c>
    </row>
    <row r="51" spans="1:9" ht="19.5" customHeight="1" thickBot="1">
      <c r="A51" s="109"/>
      <c r="B51" s="94"/>
      <c r="C51" s="77"/>
      <c r="D51" s="109"/>
      <c r="E51" s="110"/>
      <c r="F51" s="77"/>
      <c r="G51" s="125"/>
      <c r="H51" s="113"/>
      <c r="I51" s="77"/>
    </row>
    <row r="52" spans="1:9" ht="19.5" customHeight="1" thickBot="1">
      <c r="A52" s="107" t="s">
        <v>99</v>
      </c>
      <c r="B52" s="79">
        <f>0.0372*(1.2*0.0903/B22)*(B30*B22/H48)^0.8</f>
        <v>302.5750710766714</v>
      </c>
      <c r="C52" s="75" t="s">
        <v>100</v>
      </c>
      <c r="D52" s="68" t="s">
        <v>101</v>
      </c>
      <c r="E52" s="13">
        <v>0.51</v>
      </c>
      <c r="F52" s="70" t="s">
        <v>116</v>
      </c>
      <c r="G52" s="73" t="s">
        <v>105</v>
      </c>
      <c r="H52" s="79">
        <f>E52*H35/(0.246*E53)</f>
        <v>140.62872505113523</v>
      </c>
      <c r="I52" s="75" t="s">
        <v>72</v>
      </c>
    </row>
    <row r="53" spans="1:9" ht="19.5" customHeight="1" thickBot="1">
      <c r="A53" s="109"/>
      <c r="B53" s="80"/>
      <c r="C53" s="77"/>
      <c r="D53" s="68" t="s">
        <v>103</v>
      </c>
      <c r="E53" s="126">
        <f>3.19*(B30*B22/H48)^-0.16</f>
        <v>1.0344500401352352</v>
      </c>
      <c r="F53" s="70" t="s">
        <v>39</v>
      </c>
      <c r="G53" s="78"/>
      <c r="H53" s="80"/>
      <c r="I53" s="77"/>
    </row>
    <row r="54" spans="1:9" ht="19.5" customHeight="1" thickBot="1">
      <c r="A54" s="68" t="s">
        <v>106</v>
      </c>
      <c r="B54" s="89">
        <f>B38</f>
        <v>2.5084852916116063</v>
      </c>
      <c r="C54" s="70" t="s">
        <v>102</v>
      </c>
      <c r="D54" s="127" t="s">
        <v>84</v>
      </c>
      <c r="E54" s="89">
        <f>(SQRT(H5/10*H6/10/3.1415926)-(H3/10/2))/100*SQRT(H52/C6/(C4/2/1000))</f>
        <v>1.068282629269961</v>
      </c>
      <c r="F54" s="70" t="s">
        <v>102</v>
      </c>
      <c r="G54" s="68" t="s">
        <v>85</v>
      </c>
      <c r="H54" s="12">
        <v>0.665</v>
      </c>
      <c r="I54" s="70" t="s">
        <v>117</v>
      </c>
    </row>
    <row r="55" spans="1:9" ht="19.5" customHeight="1">
      <c r="A55" s="73" t="s">
        <v>104</v>
      </c>
      <c r="B55" s="79">
        <f>1/(E22*E52/B35+(B37+E37)*E22*E52+1/(B52*(H54+1/E22)))</f>
        <v>108.03700510003625</v>
      </c>
      <c r="C55" s="75" t="s">
        <v>72</v>
      </c>
      <c r="D55" s="73" t="s">
        <v>107</v>
      </c>
      <c r="E55" s="111">
        <f>E26/2/B55/H50</f>
        <v>43.49563470804336</v>
      </c>
      <c r="F55" s="75" t="s">
        <v>30</v>
      </c>
      <c r="G55" s="73" t="s">
        <v>108</v>
      </c>
      <c r="H55" s="112">
        <f>E55/B20/B16</f>
        <v>3.0389173676552734</v>
      </c>
      <c r="I55" s="75" t="s">
        <v>92</v>
      </c>
    </row>
    <row r="56" spans="1:9" ht="19.5" customHeight="1" thickBot="1">
      <c r="A56" s="78"/>
      <c r="B56" s="80"/>
      <c r="C56" s="77"/>
      <c r="D56" s="78"/>
      <c r="E56" s="113"/>
      <c r="F56" s="77"/>
      <c r="G56" s="78"/>
      <c r="H56" s="114"/>
      <c r="I56" s="77"/>
    </row>
    <row r="57" spans="1:9" ht="19.5" customHeight="1" thickBot="1">
      <c r="A57" s="128"/>
      <c r="B57" s="129"/>
      <c r="C57" s="130"/>
      <c r="D57" s="128"/>
      <c r="E57" s="129"/>
      <c r="F57" s="130"/>
      <c r="G57" s="128"/>
      <c r="H57" s="131"/>
      <c r="I57" s="130"/>
    </row>
    <row r="58" spans="1:9" ht="19.5" customHeight="1" thickBot="1">
      <c r="A58" s="16" t="s">
        <v>135</v>
      </c>
      <c r="B58" s="17"/>
      <c r="C58" s="17"/>
      <c r="D58" s="17"/>
      <c r="E58" s="17"/>
      <c r="F58" s="17"/>
      <c r="G58" s="17"/>
      <c r="H58" s="17"/>
      <c r="I58" s="18"/>
    </row>
    <row r="59" spans="1:9" ht="19.5" customHeight="1">
      <c r="A59" s="73" t="s">
        <v>93</v>
      </c>
      <c r="B59" s="79">
        <f>E26/2/E29</f>
        <v>2.7730263157894743</v>
      </c>
      <c r="C59" s="75" t="s">
        <v>69</v>
      </c>
      <c r="D59" s="73" t="s">
        <v>94</v>
      </c>
      <c r="E59" s="93">
        <f>E33</f>
        <v>10.546052631578949</v>
      </c>
      <c r="F59" s="75" t="s">
        <v>62</v>
      </c>
      <c r="G59" s="73" t="s">
        <v>95</v>
      </c>
      <c r="H59" s="93">
        <f>0.5*(E59+E45)</f>
        <v>9.159539473684212</v>
      </c>
      <c r="I59" s="75" t="s">
        <v>62</v>
      </c>
    </row>
    <row r="60" spans="1:9" ht="19.5" customHeight="1" thickBot="1">
      <c r="A60" s="33"/>
      <c r="B60" s="80"/>
      <c r="C60" s="77"/>
      <c r="D60" s="33"/>
      <c r="E60" s="94"/>
      <c r="F60" s="77"/>
      <c r="G60" s="33"/>
      <c r="H60" s="94"/>
      <c r="I60" s="77"/>
    </row>
    <row r="61" spans="1:9" ht="19.5" customHeight="1">
      <c r="A61" s="115" t="s">
        <v>119</v>
      </c>
      <c r="B61" s="116">
        <f>0.24*E45+C61*(597.5+0.431*E45)</f>
        <v>5.800423265858253</v>
      </c>
      <c r="C61" s="117">
        <f>EXP((((3.819*10^-9*E45+1.2363*10^-6)*E45-2.8205*10^-4)*E45+7.307771*10^-2)*E45-5.580049)</f>
        <v>0.006548882097566594</v>
      </c>
      <c r="D61" s="115" t="s">
        <v>118</v>
      </c>
      <c r="E61" s="116">
        <f>0.24*E59+F61*(597.5+0.431*E59)</f>
        <v>7.295078546883746</v>
      </c>
      <c r="F61" s="117">
        <f>EXP((((3.819*10^-9*E59+1.2363*10^-6)*E59-2.8205*10^-4)*E59+7.307771*10^-2)*E59-5.580049)</f>
        <v>0.007913068219390331</v>
      </c>
      <c r="G61" s="96" t="s">
        <v>75</v>
      </c>
      <c r="H61" s="97">
        <f>(0.0241+0.000077*(H12+C12)/2)/1.163</f>
        <v>0.022119260533104042</v>
      </c>
      <c r="I61" s="21" t="s">
        <v>76</v>
      </c>
    </row>
    <row r="62" spans="1:9" ht="19.5" customHeight="1" thickBot="1">
      <c r="A62" s="33"/>
      <c r="B62" s="118"/>
      <c r="C62" s="119"/>
      <c r="D62" s="33"/>
      <c r="E62" s="118"/>
      <c r="F62" s="119"/>
      <c r="G62" s="100" t="s">
        <v>78</v>
      </c>
      <c r="H62" s="34">
        <f>(0.0074237/(390.15+(H12+C12)/2))*((273.15+(H12+C12)/2)/293.15)^1.5/1.2</f>
        <v>1.5127707397543052E-05</v>
      </c>
      <c r="I62" s="101" t="s">
        <v>77</v>
      </c>
    </row>
    <row r="63" spans="1:6" ht="24" customHeight="1" thickBot="1">
      <c r="A63" s="120" t="s">
        <v>96</v>
      </c>
      <c r="B63" s="132">
        <f>E45</f>
        <v>7.773026315789474</v>
      </c>
      <c r="C63" s="101" t="s">
        <v>48</v>
      </c>
      <c r="D63" s="122" t="s">
        <v>134</v>
      </c>
      <c r="E63" s="123">
        <f>H13</f>
        <v>18.8</v>
      </c>
      <c r="F63" s="70" t="s">
        <v>21</v>
      </c>
    </row>
    <row r="64" spans="1:9" ht="19.5" customHeight="1">
      <c r="A64" s="107" t="s">
        <v>97</v>
      </c>
      <c r="B64" s="93">
        <f>E63-E61</f>
        <v>11.504921453116255</v>
      </c>
      <c r="C64" s="75" t="s">
        <v>21</v>
      </c>
      <c r="D64" s="107" t="s">
        <v>98</v>
      </c>
      <c r="E64" s="93">
        <f>E49-B61</f>
        <v>8.784576734141748</v>
      </c>
      <c r="F64" s="75" t="s">
        <v>21</v>
      </c>
      <c r="G64" s="124" t="s">
        <v>124</v>
      </c>
      <c r="H64" s="111">
        <f>(B64-E64)/LN(B64/E64)</f>
        <v>10.083665865039222</v>
      </c>
      <c r="I64" s="75" t="s">
        <v>21</v>
      </c>
    </row>
    <row r="65" spans="1:9" ht="19.5" customHeight="1" thickBot="1">
      <c r="A65" s="109"/>
      <c r="B65" s="94"/>
      <c r="C65" s="77"/>
      <c r="D65" s="109"/>
      <c r="E65" s="110"/>
      <c r="F65" s="77"/>
      <c r="G65" s="125"/>
      <c r="H65" s="113"/>
      <c r="I65" s="77"/>
    </row>
    <row r="66" spans="1:9" ht="19.5" customHeight="1" thickBot="1">
      <c r="A66" s="107" t="s">
        <v>99</v>
      </c>
      <c r="B66" s="79">
        <f>0.0372*(1.2*0.0903/B22)*(B30*B22/H62)^0.8</f>
        <v>302.5750710766714</v>
      </c>
      <c r="C66" s="75" t="s">
        <v>100</v>
      </c>
      <c r="D66" s="68" t="s">
        <v>101</v>
      </c>
      <c r="E66" s="13">
        <v>0.51</v>
      </c>
      <c r="F66" s="70" t="s">
        <v>116</v>
      </c>
      <c r="G66" s="73" t="s">
        <v>105</v>
      </c>
      <c r="H66" s="79">
        <f>E66*H35/(0.246*E67)</f>
        <v>140.62872505113523</v>
      </c>
      <c r="I66" s="75" t="s">
        <v>72</v>
      </c>
    </row>
    <row r="67" spans="1:9" ht="19.5" customHeight="1" thickBot="1">
      <c r="A67" s="109"/>
      <c r="B67" s="80"/>
      <c r="C67" s="77"/>
      <c r="D67" s="68" t="s">
        <v>103</v>
      </c>
      <c r="E67" s="126">
        <f>3.19*(B30*B22/H62)^-0.16</f>
        <v>1.0344500401352352</v>
      </c>
      <c r="F67" s="70" t="s">
        <v>39</v>
      </c>
      <c r="G67" s="78"/>
      <c r="H67" s="80"/>
      <c r="I67" s="77"/>
    </row>
    <row r="68" spans="1:9" ht="19.5" customHeight="1" thickBot="1">
      <c r="A68" s="68" t="s">
        <v>106</v>
      </c>
      <c r="B68" s="89">
        <f>B38</f>
        <v>2.5084852916116063</v>
      </c>
      <c r="C68" s="70" t="s">
        <v>102</v>
      </c>
      <c r="D68" s="127" t="s">
        <v>84</v>
      </c>
      <c r="E68" s="89">
        <f>(SQRT(H5/10*H6/10/3.1415926)-(H3/10/2))/100*SQRT(H66/C6/(C4/2/1000))</f>
        <v>1.068282629269961</v>
      </c>
      <c r="F68" s="70" t="s">
        <v>102</v>
      </c>
      <c r="G68" s="68" t="s">
        <v>85</v>
      </c>
      <c r="H68" s="12">
        <v>0.665</v>
      </c>
      <c r="I68" s="70" t="s">
        <v>117</v>
      </c>
    </row>
    <row r="69" spans="1:9" ht="19.5" customHeight="1">
      <c r="A69" s="73" t="s">
        <v>104</v>
      </c>
      <c r="B69" s="79">
        <f>1/(E22*E52/B35+(B37+E37)*E22*E66+1/(B66*(H68+1/E22)))</f>
        <v>108.03700510003625</v>
      </c>
      <c r="C69" s="75" t="s">
        <v>72</v>
      </c>
      <c r="D69" s="73" t="s">
        <v>107</v>
      </c>
      <c r="E69" s="111">
        <f>E26/2/B69/H64</f>
        <v>31.339467641931325</v>
      </c>
      <c r="F69" s="75" t="s">
        <v>30</v>
      </c>
      <c r="G69" s="73" t="s">
        <v>108</v>
      </c>
      <c r="H69" s="112">
        <f>E69/B20/B16</f>
        <v>2.189600247229495</v>
      </c>
      <c r="I69" s="75" t="s">
        <v>92</v>
      </c>
    </row>
    <row r="70" spans="1:9" ht="19.5" customHeight="1" thickBot="1">
      <c r="A70" s="78"/>
      <c r="B70" s="80"/>
      <c r="C70" s="77"/>
      <c r="D70" s="78"/>
      <c r="E70" s="113"/>
      <c r="F70" s="77"/>
      <c r="G70" s="78"/>
      <c r="H70" s="114"/>
      <c r="I70" s="77"/>
    </row>
    <row r="71" spans="1:9" ht="19.5" customHeight="1" thickBot="1">
      <c r="A71" s="128"/>
      <c r="B71" s="129"/>
      <c r="C71" s="130"/>
      <c r="D71" s="128"/>
      <c r="E71" s="129"/>
      <c r="F71" s="130"/>
      <c r="G71" s="128"/>
      <c r="H71" s="131"/>
      <c r="I71" s="130"/>
    </row>
    <row r="72" spans="1:9" ht="34.5" customHeight="1" thickBot="1">
      <c r="A72" s="133" t="s">
        <v>109</v>
      </c>
      <c r="B72" s="41"/>
      <c r="C72" s="41"/>
      <c r="D72" s="41"/>
      <c r="E72" s="41"/>
      <c r="F72" s="41"/>
      <c r="G72" s="41"/>
      <c r="H72" s="41"/>
      <c r="I72" s="42"/>
    </row>
    <row r="73" spans="1:9" ht="19.5" customHeight="1" thickBot="1">
      <c r="A73" s="134" t="s">
        <v>110</v>
      </c>
      <c r="B73" s="135">
        <f>H41+H55+H69</f>
        <v>6.404663077355069</v>
      </c>
      <c r="C73" s="136" t="s">
        <v>92</v>
      </c>
      <c r="D73" s="137" t="s">
        <v>34</v>
      </c>
      <c r="E73" s="138">
        <f>B17</f>
        <v>20</v>
      </c>
      <c r="F73" s="139" t="s">
        <v>35</v>
      </c>
      <c r="G73" s="140" t="s">
        <v>111</v>
      </c>
      <c r="H73" s="141">
        <f>E16</f>
        <v>1</v>
      </c>
      <c r="I73" s="142" t="s">
        <v>121</v>
      </c>
    </row>
    <row r="74" spans="1:9" ht="19.5" customHeight="1" thickBot="1">
      <c r="A74" s="134"/>
      <c r="B74" s="135"/>
      <c r="C74" s="136"/>
      <c r="D74" s="137"/>
      <c r="E74" s="138"/>
      <c r="F74" s="139"/>
      <c r="G74" s="140" t="s">
        <v>112</v>
      </c>
      <c r="H74" s="143">
        <f>H16</f>
        <v>0.75</v>
      </c>
      <c r="I74" s="142" t="s">
        <v>122</v>
      </c>
    </row>
    <row r="75" spans="1:9" ht="19.5" customHeight="1" thickBot="1">
      <c r="A75" s="144" t="s">
        <v>137</v>
      </c>
      <c r="B75" s="145"/>
      <c r="C75" s="145"/>
      <c r="D75" s="145"/>
      <c r="E75" s="145"/>
      <c r="F75" s="146"/>
      <c r="G75" s="92"/>
      <c r="H75" s="92"/>
      <c r="I75" s="92"/>
    </row>
    <row r="76" spans="1:9" ht="19.5" customHeight="1" thickBot="1">
      <c r="A76" s="147" t="s">
        <v>120</v>
      </c>
      <c r="B76" s="135">
        <f>IF(B73&lt;2,B73*1.1,B73*1.05)</f>
        <v>6.724896231222823</v>
      </c>
      <c r="C76" s="136" t="s">
        <v>92</v>
      </c>
      <c r="D76" s="148" t="s">
        <v>123</v>
      </c>
      <c r="E76" s="149">
        <f>ROUNDUP(B76,0)</f>
        <v>7</v>
      </c>
      <c r="F76" s="150" t="s">
        <v>92</v>
      </c>
      <c r="G76" s="55"/>
      <c r="H76" s="55"/>
      <c r="I76" s="55"/>
    </row>
    <row r="77" spans="1:9" ht="19.5" customHeight="1" thickBot="1">
      <c r="A77" s="147"/>
      <c r="B77" s="135"/>
      <c r="C77" s="136"/>
      <c r="D77" s="148"/>
      <c r="E77" s="149"/>
      <c r="F77" s="150"/>
      <c r="G77" s="55"/>
      <c r="H77" s="55"/>
      <c r="I77" s="55"/>
    </row>
    <row r="78" ht="19.5" customHeight="1">
      <c r="H78" s="55"/>
    </row>
    <row r="79" spans="1:9" ht="19.5" customHeight="1">
      <c r="A79" s="151" t="s">
        <v>139</v>
      </c>
      <c r="B79" s="151"/>
      <c r="C79" s="151"/>
      <c r="D79" s="151"/>
      <c r="E79" s="152" t="s">
        <v>140</v>
      </c>
      <c r="F79" s="152"/>
      <c r="G79" s="152"/>
      <c r="H79" s="152"/>
      <c r="I79" s="152"/>
    </row>
    <row r="80" spans="1:5" ht="19.5" customHeight="1" thickBot="1">
      <c r="A80" s="153" t="s">
        <v>141</v>
      </c>
      <c r="E80" s="154"/>
    </row>
    <row r="81" spans="1:5" ht="19.5" customHeight="1">
      <c r="A81" s="155" t="s">
        <v>24</v>
      </c>
      <c r="B81" s="156" t="s">
        <v>128</v>
      </c>
      <c r="C81" s="157"/>
      <c r="D81" s="155" t="s">
        <v>24</v>
      </c>
      <c r="E81" s="158" t="s">
        <v>128</v>
      </c>
    </row>
    <row r="82" spans="1:5" ht="19.5" customHeight="1">
      <c r="A82" s="159" t="s">
        <v>127</v>
      </c>
      <c r="B82" s="160" t="s">
        <v>129</v>
      </c>
      <c r="C82" s="157"/>
      <c r="D82" s="161" t="s">
        <v>130</v>
      </c>
      <c r="E82" s="162" t="s">
        <v>131</v>
      </c>
    </row>
    <row r="83" spans="1:5" ht="19.5" customHeight="1">
      <c r="A83" s="163" t="s">
        <v>136</v>
      </c>
      <c r="B83" s="164"/>
      <c r="C83" s="165"/>
      <c r="D83" s="163" t="s">
        <v>136</v>
      </c>
      <c r="E83" s="164"/>
    </row>
    <row r="84" spans="1:5" ht="19.5" customHeight="1" thickBot="1">
      <c r="A84" s="166"/>
      <c r="B84" s="167"/>
      <c r="C84" s="157"/>
      <c r="D84" s="166"/>
      <c r="E84" s="167"/>
    </row>
  </sheetData>
  <sheetProtection password="DF97" sheet="1" objects="1" scenarios="1"/>
  <mergeCells count="179">
    <mergeCell ref="A83:B84"/>
    <mergeCell ref="D83:E84"/>
    <mergeCell ref="E79:I79"/>
    <mergeCell ref="A79:D79"/>
    <mergeCell ref="F76:F77"/>
    <mergeCell ref="E76:E77"/>
    <mergeCell ref="E73:E74"/>
    <mergeCell ref="F73:F74"/>
    <mergeCell ref="A76:A77"/>
    <mergeCell ref="B76:B77"/>
    <mergeCell ref="C76:C77"/>
    <mergeCell ref="D76:D77"/>
    <mergeCell ref="A58:I58"/>
    <mergeCell ref="A59:A60"/>
    <mergeCell ref="B59:B60"/>
    <mergeCell ref="C52:C53"/>
    <mergeCell ref="G52:G53"/>
    <mergeCell ref="H52:H53"/>
    <mergeCell ref="I52:I53"/>
    <mergeCell ref="E55:E56"/>
    <mergeCell ref="F55:F56"/>
    <mergeCell ref="G55:G56"/>
    <mergeCell ref="H55:H56"/>
    <mergeCell ref="H50:H51"/>
    <mergeCell ref="I50:I51"/>
    <mergeCell ref="I55:I56"/>
    <mergeCell ref="A72:I72"/>
    <mergeCell ref="A55:A56"/>
    <mergeCell ref="B55:B56"/>
    <mergeCell ref="C55:C56"/>
    <mergeCell ref="D55:D56"/>
    <mergeCell ref="A52:A53"/>
    <mergeCell ref="B52:B53"/>
    <mergeCell ref="D50:D51"/>
    <mergeCell ref="E50:E51"/>
    <mergeCell ref="F50:F51"/>
    <mergeCell ref="G50:G51"/>
    <mergeCell ref="A50:A51"/>
    <mergeCell ref="I45:I46"/>
    <mergeCell ref="A47:A48"/>
    <mergeCell ref="D47:D48"/>
    <mergeCell ref="E47:E48"/>
    <mergeCell ref="F47:F48"/>
    <mergeCell ref="B47:B48"/>
    <mergeCell ref="C47:C48"/>
    <mergeCell ref="B50:B51"/>
    <mergeCell ref="C50:C51"/>
    <mergeCell ref="I41:I42"/>
    <mergeCell ref="A44:I44"/>
    <mergeCell ref="A45:A46"/>
    <mergeCell ref="B45:B46"/>
    <mergeCell ref="C45:C46"/>
    <mergeCell ref="D45:D46"/>
    <mergeCell ref="E45:E46"/>
    <mergeCell ref="F45:F46"/>
    <mergeCell ref="G45:G46"/>
    <mergeCell ref="H45:H46"/>
    <mergeCell ref="F41:F42"/>
    <mergeCell ref="E41:E42"/>
    <mergeCell ref="G41:G42"/>
    <mergeCell ref="H41:H42"/>
    <mergeCell ref="A41:A42"/>
    <mergeCell ref="C41:C42"/>
    <mergeCell ref="B41:B42"/>
    <mergeCell ref="D41:D42"/>
    <mergeCell ref="A39:A40"/>
    <mergeCell ref="C39:C40"/>
    <mergeCell ref="B39:B40"/>
    <mergeCell ref="I33:I34"/>
    <mergeCell ref="A35:A36"/>
    <mergeCell ref="C35:C36"/>
    <mergeCell ref="B35:B36"/>
    <mergeCell ref="G35:G36"/>
    <mergeCell ref="H35:H36"/>
    <mergeCell ref="I35:I36"/>
    <mergeCell ref="I26:I27"/>
    <mergeCell ref="A32:I32"/>
    <mergeCell ref="A33:A34"/>
    <mergeCell ref="C33:C34"/>
    <mergeCell ref="B33:B34"/>
    <mergeCell ref="D33:D34"/>
    <mergeCell ref="E33:E34"/>
    <mergeCell ref="F33:F34"/>
    <mergeCell ref="G33:G34"/>
    <mergeCell ref="H33:H34"/>
    <mergeCell ref="E26:E27"/>
    <mergeCell ref="F26:F27"/>
    <mergeCell ref="G26:G27"/>
    <mergeCell ref="H26:H27"/>
    <mergeCell ref="A26:A27"/>
    <mergeCell ref="C26:C27"/>
    <mergeCell ref="B26:B27"/>
    <mergeCell ref="D26:D27"/>
    <mergeCell ref="F22:F23"/>
    <mergeCell ref="E22:E23"/>
    <mergeCell ref="A25:I25"/>
    <mergeCell ref="E12:F13"/>
    <mergeCell ref="A22:A23"/>
    <mergeCell ref="C22:C23"/>
    <mergeCell ref="B22:B23"/>
    <mergeCell ref="D22:D23"/>
    <mergeCell ref="G18:G19"/>
    <mergeCell ref="I18:I19"/>
    <mergeCell ref="A20:A21"/>
    <mergeCell ref="B20:B21"/>
    <mergeCell ref="C20:C21"/>
    <mergeCell ref="H18:H19"/>
    <mergeCell ref="D20:D21"/>
    <mergeCell ref="E20:E21"/>
    <mergeCell ref="H20:H21"/>
    <mergeCell ref="D18:D19"/>
    <mergeCell ref="E18:E19"/>
    <mergeCell ref="F18:F19"/>
    <mergeCell ref="A15:I15"/>
    <mergeCell ref="A18:A19"/>
    <mergeCell ref="C18:C19"/>
    <mergeCell ref="B18:B19"/>
    <mergeCell ref="A1:I1"/>
    <mergeCell ref="A2:I2"/>
    <mergeCell ref="E9:E10"/>
    <mergeCell ref="A9:A13"/>
    <mergeCell ref="A8:I8"/>
    <mergeCell ref="F5:F6"/>
    <mergeCell ref="F3:F4"/>
    <mergeCell ref="E3:E7"/>
    <mergeCell ref="A3:A7"/>
    <mergeCell ref="C5:D5"/>
    <mergeCell ref="G7:I7"/>
    <mergeCell ref="D39:D40"/>
    <mergeCell ref="F39:F40"/>
    <mergeCell ref="E39:E40"/>
    <mergeCell ref="G39:G40"/>
    <mergeCell ref="H39:H40"/>
    <mergeCell ref="I39:I40"/>
    <mergeCell ref="I20:I21"/>
    <mergeCell ref="G20:G21"/>
    <mergeCell ref="F20:F21"/>
    <mergeCell ref="C59:C60"/>
    <mergeCell ref="D59:D60"/>
    <mergeCell ref="E59:E60"/>
    <mergeCell ref="F59:F60"/>
    <mergeCell ref="G59:G60"/>
    <mergeCell ref="H59:H60"/>
    <mergeCell ref="I59:I60"/>
    <mergeCell ref="G64:G65"/>
    <mergeCell ref="H64:H65"/>
    <mergeCell ref="I64:I65"/>
    <mergeCell ref="A66:A67"/>
    <mergeCell ref="B66:B67"/>
    <mergeCell ref="C66:C67"/>
    <mergeCell ref="G66:G67"/>
    <mergeCell ref="G69:G70"/>
    <mergeCell ref="H69:H70"/>
    <mergeCell ref="I69:I70"/>
    <mergeCell ref="E69:E70"/>
    <mergeCell ref="F69:F70"/>
    <mergeCell ref="D61:D62"/>
    <mergeCell ref="H66:H67"/>
    <mergeCell ref="I66:I67"/>
    <mergeCell ref="B64:B65"/>
    <mergeCell ref="E61:E62"/>
    <mergeCell ref="F61:F62"/>
    <mergeCell ref="A64:A65"/>
    <mergeCell ref="C64:C65"/>
    <mergeCell ref="D64:D65"/>
    <mergeCell ref="E64:E65"/>
    <mergeCell ref="F64:F65"/>
    <mergeCell ref="A61:A62"/>
    <mergeCell ref="B61:B62"/>
    <mergeCell ref="C61:C62"/>
    <mergeCell ref="A75:F75"/>
    <mergeCell ref="A69:A70"/>
    <mergeCell ref="B69:B70"/>
    <mergeCell ref="C69:C70"/>
    <mergeCell ref="D69:D70"/>
    <mergeCell ref="A73:A74"/>
    <mergeCell ref="B73:B74"/>
    <mergeCell ref="C73:C74"/>
    <mergeCell ref="D73:D74"/>
  </mergeCells>
  <printOptions/>
  <pageMargins left="0.75" right="0.75" top="1" bottom="1" header="0.512" footer="0.512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cj</cp:lastModifiedBy>
  <cp:lastPrinted>2003-01-28T03:11:19Z</cp:lastPrinted>
  <dcterms:created xsi:type="dcterms:W3CDTF">2002-12-21T02:15:46Z</dcterms:created>
  <dcterms:modified xsi:type="dcterms:W3CDTF">2004-10-14T02:12:09Z</dcterms:modified>
  <cp:category/>
  <cp:version/>
  <cp:contentType/>
  <cp:contentStatus/>
</cp:coreProperties>
</file>